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to\Desktop\"/>
    </mc:Choice>
  </mc:AlternateContent>
  <bookViews>
    <workbookView xWindow="240" yWindow="15" windowWidth="15600" windowHeight="8280"/>
  </bookViews>
  <sheets>
    <sheet name="PLANTILLA" sheetId="2" r:id="rId1"/>
  </sheets>
  <calcPr calcId="152511"/>
</workbook>
</file>

<file path=xl/calcChain.xml><?xml version="1.0" encoding="utf-8"?>
<calcChain xmlns="http://schemas.openxmlformats.org/spreadsheetml/2006/main">
  <c r="P15" i="2" l="1"/>
  <c r="AB15" i="2"/>
  <c r="AC15" i="2"/>
  <c r="AD15" i="2"/>
  <c r="Q9" i="2"/>
  <c r="I13" i="2"/>
  <c r="D9" i="2" l="1"/>
  <c r="F9" i="2" s="1"/>
  <c r="D10" i="2"/>
  <c r="E10" i="2" s="1"/>
  <c r="D11" i="2"/>
  <c r="F11" i="2" s="1"/>
  <c r="D12" i="2"/>
  <c r="D13" i="2"/>
  <c r="D14" i="2"/>
  <c r="E14" i="2" s="1"/>
  <c r="D8" i="2"/>
  <c r="F12" i="2"/>
  <c r="F13" i="2"/>
  <c r="E12" i="2"/>
  <c r="E13" i="2"/>
  <c r="AA10" i="2"/>
  <c r="AA15" i="2"/>
  <c r="T15" i="2"/>
  <c r="R15" i="2"/>
  <c r="L15" i="2"/>
  <c r="J15" i="2"/>
  <c r="H15" i="2"/>
  <c r="AA14" i="2"/>
  <c r="U14" i="2"/>
  <c r="S14" i="2"/>
  <c r="Q14" i="2"/>
  <c r="O14" i="2"/>
  <c r="M14" i="2"/>
  <c r="K14" i="2"/>
  <c r="I14" i="2"/>
  <c r="AA13" i="2"/>
  <c r="U13" i="2"/>
  <c r="S13" i="2"/>
  <c r="Q13" i="2"/>
  <c r="O13" i="2"/>
  <c r="M13" i="2"/>
  <c r="K13" i="2"/>
  <c r="AA12" i="2"/>
  <c r="U12" i="2"/>
  <c r="S12" i="2"/>
  <c r="Q12" i="2"/>
  <c r="O12" i="2"/>
  <c r="M12" i="2"/>
  <c r="K12" i="2"/>
  <c r="I12" i="2"/>
  <c r="AA11" i="2"/>
  <c r="U11" i="2"/>
  <c r="S11" i="2"/>
  <c r="Q11" i="2"/>
  <c r="O11" i="2"/>
  <c r="M11" i="2"/>
  <c r="K11" i="2"/>
  <c r="I11" i="2"/>
  <c r="U10" i="2"/>
  <c r="S10" i="2"/>
  <c r="Q10" i="2"/>
  <c r="O10" i="2"/>
  <c r="M10" i="2"/>
  <c r="K10" i="2"/>
  <c r="G15" i="2"/>
  <c r="U9" i="2"/>
  <c r="S9" i="2"/>
  <c r="O9" i="2"/>
  <c r="M9" i="2"/>
  <c r="K9" i="2"/>
  <c r="U8" i="2"/>
  <c r="S8" i="2"/>
  <c r="Q8" i="2"/>
  <c r="O8" i="2"/>
  <c r="M8" i="2"/>
  <c r="I8" i="2"/>
  <c r="D15" i="2" l="1"/>
  <c r="F14" i="2"/>
  <c r="F10" i="2"/>
  <c r="E8" i="2"/>
  <c r="E11" i="2"/>
  <c r="K15" i="2"/>
  <c r="O15" i="2"/>
  <c r="S15" i="2"/>
  <c r="E9" i="2"/>
  <c r="M15" i="2"/>
  <c r="Q15" i="2"/>
  <c r="U15" i="2"/>
  <c r="V12" i="2"/>
  <c r="V14" i="2"/>
  <c r="I15" i="2"/>
  <c r="V9" i="2"/>
  <c r="F8" i="2"/>
  <c r="V10" i="2"/>
  <c r="V11" i="2"/>
  <c r="V13" i="2"/>
  <c r="W15" i="2"/>
  <c r="V8" i="2"/>
  <c r="X14" i="2" l="1"/>
  <c r="Y14" i="2" s="1"/>
  <c r="X10" i="2"/>
  <c r="Y10" i="2" s="1"/>
  <c r="X11" i="2"/>
  <c r="Z11" i="2" s="1"/>
  <c r="E15" i="2"/>
  <c r="X8" i="2"/>
  <c r="X12" i="2"/>
  <c r="Z12" i="2" s="1"/>
  <c r="X13" i="2"/>
  <c r="Z13" i="2" s="1"/>
  <c r="F15" i="2"/>
  <c r="V15" i="2"/>
  <c r="X9" i="2"/>
  <c r="AA9" i="2" s="1"/>
  <c r="Z10" i="2" l="1"/>
  <c r="Z14" i="2"/>
  <c r="AF14" i="2" s="1"/>
  <c r="AG14" i="2" s="1"/>
  <c r="Y11" i="2"/>
  <c r="Z8" i="2"/>
  <c r="Y12" i="2"/>
  <c r="AF12" i="2" s="1"/>
  <c r="AG12" i="2" s="1"/>
  <c r="Y13" i="2"/>
  <c r="Y8" i="2"/>
  <c r="X15" i="2"/>
  <c r="X16" i="2" s="1"/>
  <c r="C19" i="2" s="1"/>
  <c r="AF10" i="2"/>
  <c r="AG10" i="2" s="1"/>
  <c r="Z9" i="2"/>
  <c r="Y9" i="2"/>
  <c r="AF13" i="2"/>
  <c r="AG13" i="2" s="1"/>
  <c r="AF11" i="2"/>
  <c r="AG11" i="2" s="1"/>
  <c r="AF8" i="2" l="1"/>
  <c r="AG8" i="2" s="1"/>
  <c r="Y15" i="2"/>
  <c r="Z15" i="2"/>
  <c r="AF9" i="2"/>
  <c r="AG9" i="2" s="1"/>
  <c r="T22" i="2"/>
  <c r="J21" i="2"/>
  <c r="T20" i="2"/>
  <c r="C20" i="2"/>
  <c r="J19" i="2"/>
  <c r="Y16" i="2"/>
  <c r="T21" i="2"/>
  <c r="C21" i="2"/>
  <c r="J20" i="2"/>
  <c r="T19" i="2"/>
  <c r="Z16" i="2"/>
  <c r="AF15" i="2" l="1"/>
  <c r="AG15" i="2" s="1"/>
  <c r="AG16" i="2" s="1"/>
  <c r="R23" i="2"/>
  <c r="B22" i="2"/>
  <c r="H22" i="2"/>
</calcChain>
</file>

<file path=xl/sharedStrings.xml><?xml version="1.0" encoding="utf-8"?>
<sst xmlns="http://schemas.openxmlformats.org/spreadsheetml/2006/main" count="81" uniqueCount="64">
  <si>
    <t>EMPRESA</t>
  </si>
  <si>
    <t>NIT:</t>
  </si>
  <si>
    <t>PERIODO NOMINA</t>
  </si>
  <si>
    <t>NOMBRE DEL EMPLEADO</t>
  </si>
  <si>
    <t>DEVENGADO</t>
  </si>
  <si>
    <t>SUELDO BASICO</t>
  </si>
  <si>
    <t>DIAS W</t>
  </si>
  <si>
    <t>AUXILIO DE TRANSPORTE</t>
  </si>
  <si>
    <t>COMISIONES</t>
  </si>
  <si>
    <t>HORAS EXTRAS</t>
  </si>
  <si>
    <t>OTROS</t>
  </si>
  <si>
    <t>TOTAL DEVENGADO</t>
  </si>
  <si>
    <t>DEDUCCIONES</t>
  </si>
  <si>
    <t>SALUD 4%</t>
  </si>
  <si>
    <t>PENSION 4%</t>
  </si>
  <si>
    <t>FONDO SOLIDARID.</t>
  </si>
  <si>
    <t>TOTAL DEDUCCIONES</t>
  </si>
  <si>
    <t>VALOR NETO A PAGAR</t>
  </si>
  <si>
    <t>APORTES PARAFISCALES</t>
  </si>
  <si>
    <t>TOTAL</t>
  </si>
  <si>
    <t>APORTES SEGURIDAD SOCIAL</t>
  </si>
  <si>
    <t>PRESTACIONES SOCIALES</t>
  </si>
  <si>
    <t>CESANTIAS 8,33333%</t>
  </si>
  <si>
    <t>INTERES. CESANTIAS 1%</t>
  </si>
  <si>
    <t>PRIMA SERVICIOS 8,33333%</t>
  </si>
  <si>
    <t>VACACIONES 4,17%</t>
  </si>
  <si>
    <t>HORAS LAB. MES</t>
  </si>
  <si>
    <t>SALARIO</t>
  </si>
  <si>
    <t>SMLMV</t>
  </si>
  <si>
    <t>AUX. TRANSP. MENSUAL</t>
  </si>
  <si>
    <t>HORAS</t>
  </si>
  <si>
    <t>HED</t>
  </si>
  <si>
    <t>HEN</t>
  </si>
  <si>
    <t>RN</t>
  </si>
  <si>
    <t>HED/FD</t>
  </si>
  <si>
    <t>HED/FN</t>
  </si>
  <si>
    <t>HORAS LABOR. X TRABAJ. X DIA</t>
  </si>
  <si>
    <t>HORAS LABOR. X TRABAJ. MENS.</t>
  </si>
  <si>
    <t>Nº</t>
  </si>
  <si>
    <t>HOD/F</t>
  </si>
  <si>
    <t>RND/F</t>
  </si>
  <si>
    <t>TOTAL NOMINA</t>
  </si>
  <si>
    <t>SENA</t>
  </si>
  <si>
    <t xml:space="preserve">ICBF </t>
  </si>
  <si>
    <t>CAJA COMP. FAMILIAR</t>
  </si>
  <si>
    <t xml:space="preserve">SALUD </t>
  </si>
  <si>
    <t xml:space="preserve">PENSION </t>
  </si>
  <si>
    <t>SINDICATO</t>
  </si>
  <si>
    <t>ARL</t>
  </si>
  <si>
    <t>Total devengado suma</t>
  </si>
  <si>
    <t>DESCUENTO FUNERARIA</t>
  </si>
  <si>
    <t>GERENTE</t>
  </si>
  <si>
    <t>JEFE DE PRODUCCION</t>
  </si>
  <si>
    <t>SECRETARIA</t>
  </si>
  <si>
    <t>CONTADOR</t>
  </si>
  <si>
    <t>SERVICIOS GENERALES</t>
  </si>
  <si>
    <t>OPERARIO DE MAQUINA</t>
  </si>
  <si>
    <t>OPERARIO</t>
  </si>
  <si>
    <t>INCAPACIDAD / ACCIDENTE</t>
  </si>
  <si>
    <t>DESCUENTO EMPLEADOS</t>
  </si>
  <si>
    <t>TOTALES</t>
  </si>
  <si>
    <t>CORPOGRAFICAS S.A</t>
  </si>
  <si>
    <t xml:space="preserve">QUINCENAL </t>
  </si>
  <si>
    <t>900196468-9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</si>
</sst>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&quot;$&quot;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2" fillId="4" borderId="1" xfId="0" applyFont="1" applyFill="1" applyBorder="1"/>
    <xf numFmtId="0" fontId="1" fillId="0" borderId="0" xfId="0" applyFont="1" applyBorder="1" applyAlignment="1"/>
    <xf numFmtId="0" fontId="2" fillId="4" borderId="1" xfId="0" applyFont="1" applyFill="1" applyBorder="1" applyAlignment="1"/>
    <xf numFmtId="9" fontId="0" fillId="4" borderId="1" xfId="0" applyNumberFormat="1" applyFill="1" applyBorder="1"/>
    <xf numFmtId="0" fontId="1" fillId="2" borderId="7" xfId="0" applyFont="1" applyFill="1" applyBorder="1" applyAlignment="1">
      <alignment horizontal="right"/>
    </xf>
    <xf numFmtId="0" fontId="0" fillId="4" borderId="5" xfId="0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2" fillId="4" borderId="2" xfId="0" applyFont="1" applyFill="1" applyBorder="1" applyAlignment="1"/>
    <xf numFmtId="0" fontId="2" fillId="4" borderId="2" xfId="0" applyFont="1" applyFill="1" applyBorder="1"/>
    <xf numFmtId="9" fontId="0" fillId="4" borderId="2" xfId="0" applyNumberFormat="1" applyFill="1" applyBorder="1"/>
    <xf numFmtId="0" fontId="1" fillId="2" borderId="7" xfId="0" applyFont="1" applyFill="1" applyBorder="1" applyAlignment="1">
      <alignment vertical="center"/>
    </xf>
    <xf numFmtId="165" fontId="0" fillId="0" borderId="0" xfId="0" applyNumberFormat="1"/>
    <xf numFmtId="3" fontId="0" fillId="0" borderId="0" xfId="0" applyNumberFormat="1"/>
    <xf numFmtId="3" fontId="0" fillId="4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3" fontId="0" fillId="5" borderId="28" xfId="0" applyNumberFormat="1" applyFill="1" applyBorder="1" applyAlignment="1">
      <alignment horizontal="center"/>
    </xf>
    <xf numFmtId="3" fontId="0" fillId="5" borderId="29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0" fillId="4" borderId="3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9" fontId="0" fillId="4" borderId="1" xfId="0" applyNumberForma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0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3" fontId="0" fillId="4" borderId="20" xfId="0" applyNumberForma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10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3" fontId="0" fillId="6" borderId="32" xfId="0" applyNumberFormat="1" applyFill="1" applyBorder="1" applyAlignment="1">
      <alignment horizontal="center"/>
    </xf>
    <xf numFmtId="3" fontId="0" fillId="6" borderId="3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="90" zoomScaleNormal="90" workbookViewId="0">
      <selection activeCell="J4" sqref="J4"/>
    </sheetView>
  </sheetViews>
  <sheetFormatPr baseColWidth="10" defaultRowHeight="15" x14ac:dyDescent="0.25"/>
  <cols>
    <col min="1" max="1" width="21" customWidth="1"/>
    <col min="2" max="2" width="9.85546875" bestFit="1" customWidth="1"/>
    <col min="3" max="3" width="9.85546875" customWidth="1"/>
    <col min="4" max="4" width="9.140625" customWidth="1"/>
    <col min="5" max="5" width="9.85546875" bestFit="1" customWidth="1"/>
    <col min="6" max="6" width="12.140625" customWidth="1"/>
    <col min="7" max="7" width="11.28515625" customWidth="1"/>
    <col min="8" max="8" width="4.85546875" customWidth="1"/>
    <col min="9" max="9" width="8.28515625" customWidth="1"/>
    <col min="10" max="10" width="5.28515625" customWidth="1"/>
    <col min="11" max="11" width="10.85546875" customWidth="1"/>
    <col min="12" max="12" width="4.85546875" customWidth="1"/>
    <col min="13" max="13" width="6.7109375" customWidth="1"/>
    <col min="14" max="14" width="4.85546875" customWidth="1"/>
    <col min="15" max="15" width="6.7109375" customWidth="1"/>
    <col min="16" max="16" width="4.85546875" customWidth="1"/>
    <col min="17" max="17" width="8.5703125" customWidth="1"/>
    <col min="18" max="18" width="4.85546875" customWidth="1"/>
    <col min="19" max="19" width="7.42578125" customWidth="1"/>
    <col min="20" max="20" width="4.85546875" customWidth="1"/>
    <col min="21" max="21" width="6.7109375" customWidth="1"/>
    <col min="22" max="22" width="9.85546875" customWidth="1"/>
    <col min="23" max="23" width="12.5703125" customWidth="1"/>
    <col min="24" max="24" width="11.5703125" customWidth="1"/>
    <col min="25" max="25" width="8.28515625" bestFit="1" customWidth="1"/>
    <col min="26" max="26" width="9.5703125" customWidth="1"/>
    <col min="27" max="27" width="10.28515625" bestFit="1" customWidth="1"/>
    <col min="28" max="28" width="9.85546875" bestFit="1" customWidth="1"/>
    <col min="29" max="29" width="12.42578125" bestFit="1" customWidth="1"/>
    <col min="30" max="30" width="10.85546875" customWidth="1"/>
    <col min="31" max="31" width="8.85546875" customWidth="1"/>
    <col min="32" max="32" width="13.7109375" customWidth="1"/>
  </cols>
  <sheetData>
    <row r="1" spans="1:33" ht="15.75" thickBot="1" x14ac:dyDescent="0.3">
      <c r="A1" s="8" t="s">
        <v>0</v>
      </c>
      <c r="B1" s="83" t="s">
        <v>61</v>
      </c>
      <c r="C1" s="83"/>
      <c r="D1" s="83"/>
      <c r="E1" s="83"/>
      <c r="F1" s="83"/>
      <c r="G1" s="8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84" t="s">
        <v>36</v>
      </c>
      <c r="X1" s="85"/>
      <c r="Y1" s="86"/>
      <c r="Z1" s="9">
        <v>8</v>
      </c>
      <c r="AB1" s="87" t="s">
        <v>28</v>
      </c>
      <c r="AC1" s="88"/>
      <c r="AD1" s="9">
        <v>616000</v>
      </c>
    </row>
    <row r="2" spans="1:33" ht="15.75" thickBot="1" x14ac:dyDescent="0.3">
      <c r="A2" s="8" t="s">
        <v>1</v>
      </c>
      <c r="B2" s="89" t="s">
        <v>63</v>
      </c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90" t="s">
        <v>37</v>
      </c>
      <c r="X2" s="91"/>
      <c r="Y2" s="92"/>
      <c r="Z2" s="9">
        <v>240</v>
      </c>
      <c r="AB2" s="87" t="s">
        <v>29</v>
      </c>
      <c r="AC2" s="88"/>
      <c r="AD2" s="9">
        <v>72000</v>
      </c>
    </row>
    <row r="3" spans="1:33" ht="15.75" thickBot="1" x14ac:dyDescent="0.3">
      <c r="A3" s="8" t="s">
        <v>2</v>
      </c>
      <c r="B3" s="93" t="s">
        <v>62</v>
      </c>
      <c r="C3" s="93"/>
      <c r="D3" s="93"/>
      <c r="E3" s="93"/>
      <c r="F3" s="93"/>
      <c r="G3" s="9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3" ht="15.75" thickBot="1" x14ac:dyDescent="0.3">
      <c r="A5" s="3"/>
      <c r="B5" s="3"/>
      <c r="C5" s="3"/>
      <c r="D5" s="3"/>
      <c r="E5" s="3"/>
      <c r="F5" s="3"/>
      <c r="G5" s="3"/>
    </row>
    <row r="6" spans="1:33" ht="18" customHeight="1" thickBot="1" x14ac:dyDescent="0.3">
      <c r="A6" s="53" t="s">
        <v>3</v>
      </c>
      <c r="B6" s="55" t="s">
        <v>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  <c r="X6" s="1"/>
      <c r="Y6" s="55" t="s">
        <v>12</v>
      </c>
      <c r="Z6" s="56"/>
      <c r="AA6" s="56"/>
      <c r="AB6" s="56"/>
      <c r="AC6" s="56"/>
      <c r="AD6" s="56"/>
      <c r="AE6" s="57"/>
    </row>
    <row r="7" spans="1:33" ht="33.75" customHeight="1" thickBot="1" x14ac:dyDescent="0.3">
      <c r="A7" s="54"/>
      <c r="B7" s="12" t="s">
        <v>5</v>
      </c>
      <c r="C7" s="25" t="s">
        <v>6</v>
      </c>
      <c r="D7" s="13" t="s">
        <v>26</v>
      </c>
      <c r="E7" s="10" t="s">
        <v>27</v>
      </c>
      <c r="F7" s="10" t="s">
        <v>7</v>
      </c>
      <c r="G7" s="10" t="s">
        <v>8</v>
      </c>
      <c r="H7" s="14" t="s">
        <v>38</v>
      </c>
      <c r="I7" s="11" t="s">
        <v>31</v>
      </c>
      <c r="J7" s="10" t="s">
        <v>38</v>
      </c>
      <c r="K7" s="10" t="s">
        <v>32</v>
      </c>
      <c r="L7" s="10" t="s">
        <v>38</v>
      </c>
      <c r="M7" s="10" t="s">
        <v>33</v>
      </c>
      <c r="N7" s="10" t="s">
        <v>38</v>
      </c>
      <c r="O7" s="10" t="s">
        <v>39</v>
      </c>
      <c r="P7" s="10" t="s">
        <v>38</v>
      </c>
      <c r="Q7" s="10" t="s">
        <v>34</v>
      </c>
      <c r="R7" s="10" t="s">
        <v>38</v>
      </c>
      <c r="S7" s="10" t="s">
        <v>35</v>
      </c>
      <c r="T7" s="10" t="s">
        <v>38</v>
      </c>
      <c r="U7" s="10" t="s">
        <v>40</v>
      </c>
      <c r="V7" s="10" t="s">
        <v>9</v>
      </c>
      <c r="W7" s="15" t="s">
        <v>58</v>
      </c>
      <c r="X7" s="10" t="s">
        <v>11</v>
      </c>
      <c r="Y7" s="10" t="s">
        <v>13</v>
      </c>
      <c r="Z7" s="10" t="s">
        <v>14</v>
      </c>
      <c r="AA7" s="10" t="s">
        <v>15</v>
      </c>
      <c r="AB7" s="10" t="s">
        <v>47</v>
      </c>
      <c r="AC7" s="10" t="s">
        <v>50</v>
      </c>
      <c r="AD7" s="10" t="s">
        <v>59</v>
      </c>
      <c r="AE7" s="10" t="s">
        <v>10</v>
      </c>
      <c r="AF7" s="10" t="s">
        <v>16</v>
      </c>
      <c r="AG7" s="10" t="s">
        <v>17</v>
      </c>
    </row>
    <row r="8" spans="1:33" ht="18" customHeight="1" x14ac:dyDescent="0.25">
      <c r="A8" s="94" t="s">
        <v>51</v>
      </c>
      <c r="B8" s="36">
        <v>4500000</v>
      </c>
      <c r="C8" s="34">
        <v>13</v>
      </c>
      <c r="D8" s="33">
        <f>+C8*$Z$1</f>
        <v>104</v>
      </c>
      <c r="E8" s="23">
        <f t="shared" ref="E8:E14" si="0">(B8/$Z$2)*D8</f>
        <v>1950000</v>
      </c>
      <c r="F8" s="23">
        <f t="shared" ref="F8:F14" si="1">ROUND((IF(B8&lt;=($AD$1*2),$AD$2/$Z$2*D8,0)),0)</f>
        <v>0</v>
      </c>
      <c r="G8" s="31">
        <v>0</v>
      </c>
      <c r="H8" s="30">
        <v>0</v>
      </c>
      <c r="I8" s="23">
        <f t="shared" ref="I8:I14" si="2">ROUND(((B8/$Z$2)*H8*$X$19),0)</f>
        <v>0</v>
      </c>
      <c r="J8" s="30">
        <v>0</v>
      </c>
      <c r="K8" s="23">
        <v>0</v>
      </c>
      <c r="L8" s="30">
        <v>0</v>
      </c>
      <c r="M8" s="28">
        <f t="shared" ref="M8:M14" si="3">ROUND(((B8/$Z$2)*L8*$X$21),0)</f>
        <v>0</v>
      </c>
      <c r="N8" s="28">
        <v>0</v>
      </c>
      <c r="O8" s="28">
        <f t="shared" ref="O8:O14" si="4">ROUND(((B8/$Z$2)*N8*$X$22),0)</f>
        <v>0</v>
      </c>
      <c r="P8" s="30">
        <v>0</v>
      </c>
      <c r="Q8" s="28">
        <f t="shared" ref="Q8:Q14" si="5">ROUND(((B8/$Z$2)*P8*$X$23),0)</f>
        <v>0</v>
      </c>
      <c r="R8" s="30">
        <v>0</v>
      </c>
      <c r="S8" s="28">
        <f t="shared" ref="S8:S14" si="6">ROUND(((B8/$Z$2)*R8*$X$24),0)</f>
        <v>0</v>
      </c>
      <c r="T8" s="30">
        <v>0</v>
      </c>
      <c r="U8" s="28">
        <f t="shared" ref="U8:U14" si="7">ROUND(((B8/$Z$2)*T8*$X$25),0)</f>
        <v>0</v>
      </c>
      <c r="V8" s="23">
        <f t="shared" ref="V8:V14" si="8">+I8+K8+M8+O8+Q8+S8+U8</f>
        <v>0</v>
      </c>
      <c r="W8" s="39">
        <v>300000</v>
      </c>
      <c r="X8" s="23">
        <f>+E8+F8+G8+V8+W8</f>
        <v>2250000</v>
      </c>
      <c r="Y8" s="23">
        <f>(X8-F8)*4%</f>
        <v>90000</v>
      </c>
      <c r="Z8" s="23">
        <f>(X8-F8)*4%</f>
        <v>90000</v>
      </c>
      <c r="AA8" s="23">
        <v>22500</v>
      </c>
      <c r="AB8" s="31">
        <v>50000</v>
      </c>
      <c r="AC8" s="31">
        <v>11000</v>
      </c>
      <c r="AD8" s="31">
        <v>50000</v>
      </c>
      <c r="AE8" s="31"/>
      <c r="AF8" s="23">
        <f>Y8+Z8+AA8+AB8+AC8+AD8+AE8</f>
        <v>313500</v>
      </c>
      <c r="AG8" s="23">
        <f t="shared" ref="AG8:AG15" si="9">(X8-AF8)</f>
        <v>1936500</v>
      </c>
    </row>
    <row r="9" spans="1:33" ht="18" customHeight="1" x14ac:dyDescent="0.25">
      <c r="A9" s="95" t="s">
        <v>52</v>
      </c>
      <c r="B9" s="37">
        <v>2400000</v>
      </c>
      <c r="C9" s="35">
        <v>15</v>
      </c>
      <c r="D9" s="33">
        <f t="shared" ref="D9:D14" si="10">+C9*$Z$1</f>
        <v>120</v>
      </c>
      <c r="E9" s="23">
        <f t="shared" si="0"/>
        <v>1200000</v>
      </c>
      <c r="F9" s="23">
        <f t="shared" si="1"/>
        <v>0</v>
      </c>
      <c r="G9" s="31">
        <v>25000</v>
      </c>
      <c r="H9" s="32">
        <v>0</v>
      </c>
      <c r="I9" s="23">
        <v>0</v>
      </c>
      <c r="J9" s="32">
        <v>4</v>
      </c>
      <c r="K9" s="23">
        <f t="shared" ref="K9:K14" si="11">ROUND(((B9/$Z$2)*J9*$X$20),0)</f>
        <v>70000</v>
      </c>
      <c r="L9" s="32">
        <v>3</v>
      </c>
      <c r="M9" s="28">
        <f t="shared" si="3"/>
        <v>10500</v>
      </c>
      <c r="N9" s="24">
        <v>0</v>
      </c>
      <c r="O9" s="28">
        <f t="shared" si="4"/>
        <v>0</v>
      </c>
      <c r="P9" s="32">
        <v>5</v>
      </c>
      <c r="Q9" s="28">
        <f t="shared" si="5"/>
        <v>100000</v>
      </c>
      <c r="R9" s="30">
        <v>0</v>
      </c>
      <c r="S9" s="28">
        <f t="shared" si="6"/>
        <v>0</v>
      </c>
      <c r="T9" s="30">
        <v>0</v>
      </c>
      <c r="U9" s="28">
        <f t="shared" si="7"/>
        <v>0</v>
      </c>
      <c r="V9" s="23">
        <f t="shared" si="8"/>
        <v>180500</v>
      </c>
      <c r="W9" s="39">
        <v>0</v>
      </c>
      <c r="X9" s="23">
        <f t="shared" ref="X9:X14" si="12">+E9+F9+G9+V9+W9</f>
        <v>1405500</v>
      </c>
      <c r="Y9" s="23">
        <f t="shared" ref="Y9:Y16" si="13">(X9-F9)*4%</f>
        <v>56220</v>
      </c>
      <c r="Z9" s="23">
        <f t="shared" ref="Z9:Z16" si="14">(X9-F9)*4%</f>
        <v>56220</v>
      </c>
      <c r="AA9" s="23">
        <f>IF(X9&gt;=($AD$1*4),(X9*1%),0)</f>
        <v>0</v>
      </c>
      <c r="AB9" s="31">
        <v>30000</v>
      </c>
      <c r="AC9" s="31">
        <v>11000</v>
      </c>
      <c r="AD9" s="31">
        <v>20000</v>
      </c>
      <c r="AE9" s="31"/>
      <c r="AF9" s="23">
        <f t="shared" ref="AF9:AF14" si="15">Y9+Z9+AA9+AB9+AC9+AD9+AE9</f>
        <v>173440</v>
      </c>
      <c r="AG9" s="23">
        <f t="shared" si="9"/>
        <v>1232060</v>
      </c>
    </row>
    <row r="10" spans="1:33" ht="18" customHeight="1" x14ac:dyDescent="0.25">
      <c r="A10" s="95" t="s">
        <v>53</v>
      </c>
      <c r="B10" s="37">
        <v>795000</v>
      </c>
      <c r="C10" s="35">
        <v>15</v>
      </c>
      <c r="D10" s="33">
        <f t="shared" si="10"/>
        <v>120</v>
      </c>
      <c r="E10" s="23">
        <f t="shared" si="0"/>
        <v>397500</v>
      </c>
      <c r="F10" s="23">
        <f t="shared" si="1"/>
        <v>36000</v>
      </c>
      <c r="G10" s="31">
        <v>25000</v>
      </c>
      <c r="H10" s="32">
        <v>8</v>
      </c>
      <c r="I10" s="23">
        <v>38120</v>
      </c>
      <c r="J10" s="32">
        <v>0</v>
      </c>
      <c r="K10" s="23">
        <f t="shared" si="11"/>
        <v>0</v>
      </c>
      <c r="L10" s="32">
        <v>4</v>
      </c>
      <c r="M10" s="28">
        <f t="shared" si="3"/>
        <v>4638</v>
      </c>
      <c r="N10" s="24">
        <v>0</v>
      </c>
      <c r="O10" s="28">
        <f t="shared" si="4"/>
        <v>0</v>
      </c>
      <c r="P10" s="32">
        <v>5</v>
      </c>
      <c r="Q10" s="28">
        <f t="shared" si="5"/>
        <v>33125</v>
      </c>
      <c r="R10" s="30">
        <v>0</v>
      </c>
      <c r="S10" s="28">
        <f t="shared" si="6"/>
        <v>0</v>
      </c>
      <c r="T10" s="30">
        <v>0</v>
      </c>
      <c r="U10" s="28">
        <f t="shared" si="7"/>
        <v>0</v>
      </c>
      <c r="V10" s="23">
        <f t="shared" si="8"/>
        <v>75883</v>
      </c>
      <c r="W10" s="39">
        <v>0</v>
      </c>
      <c r="X10" s="23">
        <f t="shared" si="12"/>
        <v>534383</v>
      </c>
      <c r="Y10" s="23">
        <f t="shared" si="13"/>
        <v>19935.32</v>
      </c>
      <c r="Z10" s="23">
        <f t="shared" si="14"/>
        <v>19935.32</v>
      </c>
      <c r="AA10" s="23">
        <f t="shared" ref="AA10:AA15" si="16">IF(B10&gt;=($AD$1*4),(B10*1%),0)</f>
        <v>0</v>
      </c>
      <c r="AB10" s="31">
        <v>30000</v>
      </c>
      <c r="AC10" s="31">
        <v>11000</v>
      </c>
      <c r="AD10" s="31">
        <v>20000</v>
      </c>
      <c r="AE10" s="31"/>
      <c r="AF10" s="23">
        <f t="shared" si="15"/>
        <v>100870.64</v>
      </c>
      <c r="AG10" s="23">
        <f t="shared" si="9"/>
        <v>433512.36</v>
      </c>
    </row>
    <row r="11" spans="1:33" ht="18" customHeight="1" x14ac:dyDescent="0.25">
      <c r="A11" s="95" t="s">
        <v>54</v>
      </c>
      <c r="B11" s="37">
        <v>1300000</v>
      </c>
      <c r="C11" s="35">
        <v>15</v>
      </c>
      <c r="D11" s="33">
        <f t="shared" si="10"/>
        <v>120</v>
      </c>
      <c r="E11" s="23">
        <f t="shared" si="0"/>
        <v>650000</v>
      </c>
      <c r="F11" s="23">
        <f t="shared" si="1"/>
        <v>0</v>
      </c>
      <c r="G11" s="31">
        <v>0</v>
      </c>
      <c r="H11" s="32">
        <v>0</v>
      </c>
      <c r="I11" s="23">
        <f t="shared" si="2"/>
        <v>0</v>
      </c>
      <c r="J11" s="32">
        <v>10</v>
      </c>
      <c r="K11" s="23">
        <f t="shared" si="11"/>
        <v>94792</v>
      </c>
      <c r="L11" s="32">
        <v>4</v>
      </c>
      <c r="M11" s="28">
        <f t="shared" si="3"/>
        <v>7583</v>
      </c>
      <c r="N11" s="24">
        <v>0</v>
      </c>
      <c r="O11" s="28">
        <f t="shared" si="4"/>
        <v>0</v>
      </c>
      <c r="P11" s="32">
        <v>0</v>
      </c>
      <c r="Q11" s="28">
        <f t="shared" si="5"/>
        <v>0</v>
      </c>
      <c r="R11" s="30">
        <v>0</v>
      </c>
      <c r="S11" s="28">
        <f t="shared" si="6"/>
        <v>0</v>
      </c>
      <c r="T11" s="30">
        <v>0</v>
      </c>
      <c r="U11" s="28">
        <f t="shared" si="7"/>
        <v>0</v>
      </c>
      <c r="V11" s="23">
        <f t="shared" si="8"/>
        <v>102375</v>
      </c>
      <c r="W11" s="39">
        <v>0</v>
      </c>
      <c r="X11" s="23">
        <f t="shared" si="12"/>
        <v>752375</v>
      </c>
      <c r="Y11" s="23">
        <f t="shared" si="13"/>
        <v>30095</v>
      </c>
      <c r="Z11" s="23">
        <f t="shared" si="14"/>
        <v>30095</v>
      </c>
      <c r="AA11" s="23">
        <f t="shared" si="16"/>
        <v>0</v>
      </c>
      <c r="AB11" s="31">
        <v>30000</v>
      </c>
      <c r="AC11" s="31">
        <v>11000</v>
      </c>
      <c r="AD11" s="31">
        <v>20000</v>
      </c>
      <c r="AE11" s="31"/>
      <c r="AF11" s="23">
        <f t="shared" si="15"/>
        <v>121190</v>
      </c>
      <c r="AG11" s="23">
        <f t="shared" si="9"/>
        <v>631185</v>
      </c>
    </row>
    <row r="12" spans="1:33" ht="18" customHeight="1" x14ac:dyDescent="0.25">
      <c r="A12" s="95" t="s">
        <v>55</v>
      </c>
      <c r="B12" s="37">
        <v>616000</v>
      </c>
      <c r="C12" s="35">
        <v>12</v>
      </c>
      <c r="D12" s="33">
        <f t="shared" si="10"/>
        <v>96</v>
      </c>
      <c r="E12" s="23">
        <f t="shared" si="0"/>
        <v>246400</v>
      </c>
      <c r="F12" s="23">
        <f t="shared" si="1"/>
        <v>28800</v>
      </c>
      <c r="G12" s="31">
        <v>25000</v>
      </c>
      <c r="H12" s="32">
        <v>10</v>
      </c>
      <c r="I12" s="23">
        <f t="shared" si="2"/>
        <v>32083</v>
      </c>
      <c r="J12" s="32">
        <v>4</v>
      </c>
      <c r="K12" s="23">
        <f t="shared" si="11"/>
        <v>17967</v>
      </c>
      <c r="L12" s="32">
        <v>0</v>
      </c>
      <c r="M12" s="28">
        <f t="shared" si="3"/>
        <v>0</v>
      </c>
      <c r="N12" s="24">
        <v>0</v>
      </c>
      <c r="O12" s="28">
        <f t="shared" si="4"/>
        <v>0</v>
      </c>
      <c r="P12" s="32">
        <v>0</v>
      </c>
      <c r="Q12" s="28">
        <f t="shared" si="5"/>
        <v>0</v>
      </c>
      <c r="R12" s="30">
        <v>6</v>
      </c>
      <c r="S12" s="28">
        <f t="shared" si="6"/>
        <v>38500</v>
      </c>
      <c r="T12" s="30">
        <v>0</v>
      </c>
      <c r="U12" s="28">
        <f t="shared" si="7"/>
        <v>0</v>
      </c>
      <c r="V12" s="23">
        <f t="shared" si="8"/>
        <v>88550</v>
      </c>
      <c r="W12" s="39">
        <v>61599</v>
      </c>
      <c r="X12" s="23">
        <f t="shared" si="12"/>
        <v>450349</v>
      </c>
      <c r="Y12" s="23">
        <f t="shared" si="13"/>
        <v>16861.96</v>
      </c>
      <c r="Z12" s="23">
        <f t="shared" si="14"/>
        <v>16861.96</v>
      </c>
      <c r="AA12" s="23">
        <f t="shared" si="16"/>
        <v>0</v>
      </c>
      <c r="AB12" s="31">
        <v>30000</v>
      </c>
      <c r="AC12" s="31">
        <v>0</v>
      </c>
      <c r="AD12" s="31">
        <v>20000</v>
      </c>
      <c r="AE12" s="31"/>
      <c r="AF12" s="23">
        <f t="shared" si="15"/>
        <v>83723.92</v>
      </c>
      <c r="AG12" s="23">
        <f t="shared" si="9"/>
        <v>366625.08</v>
      </c>
    </row>
    <row r="13" spans="1:33" ht="18" customHeight="1" x14ac:dyDescent="0.25">
      <c r="A13" s="95" t="s">
        <v>56</v>
      </c>
      <c r="B13" s="37">
        <v>780000</v>
      </c>
      <c r="C13" s="35">
        <v>12</v>
      </c>
      <c r="D13" s="33">
        <f t="shared" si="10"/>
        <v>96</v>
      </c>
      <c r="E13" s="23">
        <f t="shared" si="0"/>
        <v>312000</v>
      </c>
      <c r="F13" s="23">
        <f t="shared" si="1"/>
        <v>28800</v>
      </c>
      <c r="G13" s="31">
        <v>25000</v>
      </c>
      <c r="H13" s="32">
        <v>8</v>
      </c>
      <c r="I13" s="23">
        <f t="shared" si="2"/>
        <v>32500</v>
      </c>
      <c r="J13" s="32">
        <v>0</v>
      </c>
      <c r="K13" s="23">
        <f t="shared" si="11"/>
        <v>0</v>
      </c>
      <c r="L13" s="32">
        <v>0</v>
      </c>
      <c r="M13" s="28">
        <f t="shared" si="3"/>
        <v>0</v>
      </c>
      <c r="N13" s="24">
        <v>0</v>
      </c>
      <c r="O13" s="28">
        <f t="shared" si="4"/>
        <v>0</v>
      </c>
      <c r="P13" s="32">
        <v>7</v>
      </c>
      <c r="Q13" s="28">
        <f t="shared" si="5"/>
        <v>45500</v>
      </c>
      <c r="R13" s="30">
        <v>0</v>
      </c>
      <c r="S13" s="28">
        <f t="shared" si="6"/>
        <v>0</v>
      </c>
      <c r="T13" s="30">
        <v>6</v>
      </c>
      <c r="U13" s="28">
        <f t="shared" si="7"/>
        <v>40950</v>
      </c>
      <c r="V13" s="23">
        <f t="shared" si="8"/>
        <v>118950</v>
      </c>
      <c r="W13" s="39">
        <v>78000</v>
      </c>
      <c r="X13" s="23">
        <f t="shared" si="12"/>
        <v>562750</v>
      </c>
      <c r="Y13" s="23">
        <f t="shared" si="13"/>
        <v>21358</v>
      </c>
      <c r="Z13" s="23">
        <f t="shared" si="14"/>
        <v>21358</v>
      </c>
      <c r="AA13" s="23">
        <f t="shared" si="16"/>
        <v>0</v>
      </c>
      <c r="AB13" s="31">
        <v>30000</v>
      </c>
      <c r="AC13" s="31">
        <v>0</v>
      </c>
      <c r="AD13" s="31">
        <v>20000</v>
      </c>
      <c r="AE13" s="31"/>
      <c r="AF13" s="23">
        <f t="shared" si="15"/>
        <v>92716</v>
      </c>
      <c r="AG13" s="23">
        <f t="shared" si="9"/>
        <v>470034</v>
      </c>
    </row>
    <row r="14" spans="1:33" ht="18" customHeight="1" x14ac:dyDescent="0.25">
      <c r="A14" s="95" t="s">
        <v>57</v>
      </c>
      <c r="B14" s="37">
        <v>616000</v>
      </c>
      <c r="C14" s="35">
        <v>9</v>
      </c>
      <c r="D14" s="33">
        <f t="shared" si="10"/>
        <v>72</v>
      </c>
      <c r="E14" s="23">
        <f t="shared" si="0"/>
        <v>184800</v>
      </c>
      <c r="F14" s="23">
        <f t="shared" si="1"/>
        <v>21600</v>
      </c>
      <c r="G14" s="31">
        <v>25000</v>
      </c>
      <c r="H14" s="32">
        <v>5</v>
      </c>
      <c r="I14" s="23">
        <f t="shared" si="2"/>
        <v>16042</v>
      </c>
      <c r="J14" s="32">
        <v>6</v>
      </c>
      <c r="K14" s="23">
        <f t="shared" si="11"/>
        <v>26950</v>
      </c>
      <c r="L14" s="32">
        <v>8</v>
      </c>
      <c r="M14" s="28">
        <f t="shared" si="3"/>
        <v>7187</v>
      </c>
      <c r="N14" s="24">
        <v>0</v>
      </c>
      <c r="O14" s="28">
        <f t="shared" si="4"/>
        <v>0</v>
      </c>
      <c r="P14" s="32">
        <v>0</v>
      </c>
      <c r="Q14" s="28">
        <f t="shared" si="5"/>
        <v>0</v>
      </c>
      <c r="R14" s="30">
        <v>0</v>
      </c>
      <c r="S14" s="28">
        <f t="shared" si="6"/>
        <v>0</v>
      </c>
      <c r="T14" s="30">
        <v>3</v>
      </c>
      <c r="U14" s="28">
        <f t="shared" si="7"/>
        <v>16170</v>
      </c>
      <c r="V14" s="23">
        <f t="shared" si="8"/>
        <v>66349</v>
      </c>
      <c r="W14" s="39">
        <v>123198</v>
      </c>
      <c r="X14" s="23">
        <f t="shared" si="12"/>
        <v>420947</v>
      </c>
      <c r="Y14" s="23">
        <f t="shared" si="13"/>
        <v>15973.880000000001</v>
      </c>
      <c r="Z14" s="23">
        <f t="shared" si="14"/>
        <v>15973.880000000001</v>
      </c>
      <c r="AA14" s="23">
        <f t="shared" si="16"/>
        <v>0</v>
      </c>
      <c r="AB14" s="31">
        <v>30000</v>
      </c>
      <c r="AC14" s="31">
        <v>0</v>
      </c>
      <c r="AD14" s="31">
        <v>20000</v>
      </c>
      <c r="AE14" s="31"/>
      <c r="AF14" s="23">
        <f t="shared" si="15"/>
        <v>81947.760000000009</v>
      </c>
      <c r="AG14" s="23">
        <f t="shared" si="9"/>
        <v>338999.24</v>
      </c>
    </row>
    <row r="15" spans="1:33" ht="18" customHeight="1" thickBot="1" x14ac:dyDescent="0.3">
      <c r="A15" s="96" t="s">
        <v>60</v>
      </c>
      <c r="B15" s="97"/>
      <c r="C15" s="98"/>
      <c r="D15" s="99">
        <f>SUM(D8:D14)</f>
        <v>728</v>
      </c>
      <c r="E15" s="100">
        <f>SUM(E8:E14)</f>
        <v>4940700</v>
      </c>
      <c r="F15" s="100">
        <f t="shared" ref="F15:X15" si="17">SUM(F8:F14)</f>
        <v>115200</v>
      </c>
      <c r="G15" s="100">
        <f t="shared" si="17"/>
        <v>125000</v>
      </c>
      <c r="H15" s="101">
        <f t="shared" si="17"/>
        <v>31</v>
      </c>
      <c r="I15" s="100">
        <f t="shared" si="17"/>
        <v>118745</v>
      </c>
      <c r="J15" s="101">
        <f t="shared" si="17"/>
        <v>24</v>
      </c>
      <c r="K15" s="100">
        <f t="shared" si="17"/>
        <v>209709</v>
      </c>
      <c r="L15" s="101">
        <f t="shared" si="17"/>
        <v>19</v>
      </c>
      <c r="M15" s="101">
        <f t="shared" si="17"/>
        <v>29908</v>
      </c>
      <c r="N15" s="101">
        <v>0</v>
      </c>
      <c r="O15" s="101">
        <f t="shared" si="17"/>
        <v>0</v>
      </c>
      <c r="P15" s="101">
        <f>SUM(P8:P14)</f>
        <v>17</v>
      </c>
      <c r="Q15" s="101">
        <f t="shared" si="17"/>
        <v>178625</v>
      </c>
      <c r="R15" s="101">
        <f t="shared" si="17"/>
        <v>6</v>
      </c>
      <c r="S15" s="101">
        <f t="shared" si="17"/>
        <v>38500</v>
      </c>
      <c r="T15" s="102">
        <f t="shared" si="17"/>
        <v>9</v>
      </c>
      <c r="U15" s="102">
        <f t="shared" si="17"/>
        <v>57120</v>
      </c>
      <c r="V15" s="103">
        <f t="shared" si="17"/>
        <v>632607</v>
      </c>
      <c r="W15" s="104">
        <f t="shared" si="17"/>
        <v>562797</v>
      </c>
      <c r="X15" s="103">
        <f t="shared" si="17"/>
        <v>6376304</v>
      </c>
      <c r="Y15" s="100">
        <f>(X15-F15)*4%</f>
        <v>250444.16</v>
      </c>
      <c r="Z15" s="100">
        <f t="shared" si="14"/>
        <v>250444.16</v>
      </c>
      <c r="AA15" s="100">
        <f t="shared" si="16"/>
        <v>0</v>
      </c>
      <c r="AB15" s="100">
        <f>(AB8+AB9+AB10+AB11+AB12+AB13+AB14)</f>
        <v>230000</v>
      </c>
      <c r="AC15" s="100">
        <f>(AC8+AC9+AC10+AC11+AC12+AC13+AC14)</f>
        <v>44000</v>
      </c>
      <c r="AD15" s="100">
        <f>(AD8+AD9+AD10+AD11+AD12+AD13+AD14)</f>
        <v>170000</v>
      </c>
      <c r="AE15" s="100"/>
      <c r="AF15" s="100">
        <f>SUM(AF8:AF14)</f>
        <v>967388.32000000007</v>
      </c>
      <c r="AG15" s="100">
        <f t="shared" si="9"/>
        <v>5408915.6799999997</v>
      </c>
    </row>
    <row r="16" spans="1:33" ht="15.75" thickBot="1" x14ac:dyDescent="0.3">
      <c r="T16" s="58" t="s">
        <v>49</v>
      </c>
      <c r="U16" s="59"/>
      <c r="V16" s="59"/>
      <c r="W16" s="60"/>
      <c r="X16" s="38">
        <f>+X15</f>
        <v>6376304</v>
      </c>
      <c r="Y16" s="29">
        <f t="shared" si="13"/>
        <v>255052.16</v>
      </c>
      <c r="Z16" s="23">
        <f t="shared" si="14"/>
        <v>255052.16</v>
      </c>
      <c r="AD16" s="80" t="s">
        <v>41</v>
      </c>
      <c r="AE16" s="81"/>
      <c r="AF16" s="82"/>
      <c r="AG16" s="23">
        <f>SUM(AG8:AG15)</f>
        <v>10817831.359999999</v>
      </c>
    </row>
    <row r="17" spans="1:30" ht="15.75" thickBot="1" x14ac:dyDescent="0.3"/>
    <row r="18" spans="1:30" ht="15.75" thickBot="1" x14ac:dyDescent="0.3">
      <c r="A18" s="70" t="s">
        <v>18</v>
      </c>
      <c r="B18" s="71"/>
      <c r="C18" s="20" t="s">
        <v>19</v>
      </c>
      <c r="F18" s="70" t="s">
        <v>20</v>
      </c>
      <c r="G18" s="72"/>
      <c r="H18" s="72"/>
      <c r="I18" s="71"/>
      <c r="J18" s="73" t="s">
        <v>19</v>
      </c>
      <c r="K18" s="74"/>
      <c r="N18" s="75" t="s">
        <v>21</v>
      </c>
      <c r="O18" s="76"/>
      <c r="P18" s="76"/>
      <c r="Q18" s="76"/>
      <c r="R18" s="76"/>
      <c r="S18" s="76"/>
      <c r="T18" s="76"/>
      <c r="U18" s="77"/>
      <c r="W18" s="78" t="s">
        <v>30</v>
      </c>
      <c r="X18" s="79"/>
      <c r="AD18" s="5"/>
    </row>
    <row r="19" spans="1:30" x14ac:dyDescent="0.25">
      <c r="A19" s="18" t="s">
        <v>42</v>
      </c>
      <c r="B19" s="19">
        <v>0</v>
      </c>
      <c r="C19" s="23">
        <f>(X16-F15)*B19</f>
        <v>0</v>
      </c>
      <c r="F19" s="61" t="s">
        <v>45</v>
      </c>
      <c r="G19" s="61"/>
      <c r="H19" s="62">
        <v>0</v>
      </c>
      <c r="I19" s="63"/>
      <c r="J19" s="64">
        <f>($X$16-$F$15)*H19</f>
        <v>0</v>
      </c>
      <c r="K19" s="65"/>
      <c r="N19" s="17" t="s">
        <v>22</v>
      </c>
      <c r="O19" s="17"/>
      <c r="P19" s="16"/>
      <c r="Q19" s="16"/>
      <c r="R19" s="66">
        <v>8.3333299999999999E-2</v>
      </c>
      <c r="S19" s="67"/>
      <c r="T19" s="68">
        <f>$X$16*R19</f>
        <v>531358.45412320003</v>
      </c>
      <c r="U19" s="69"/>
      <c r="W19" s="26" t="s">
        <v>31</v>
      </c>
      <c r="X19" s="16">
        <v>1.25</v>
      </c>
      <c r="AD19" s="1"/>
    </row>
    <row r="20" spans="1:30" x14ac:dyDescent="0.25">
      <c r="A20" s="4" t="s">
        <v>43</v>
      </c>
      <c r="B20" s="7">
        <v>0</v>
      </c>
      <c r="C20" s="23">
        <f>(X16-F15)*B20</f>
        <v>0</v>
      </c>
      <c r="F20" s="40" t="s">
        <v>46</v>
      </c>
      <c r="G20" s="40"/>
      <c r="H20" s="49">
        <v>0.12</v>
      </c>
      <c r="I20" s="50"/>
      <c r="J20" s="41">
        <f t="shared" ref="J20" si="18">($X$16-$F$15)*H20</f>
        <v>751332.48</v>
      </c>
      <c r="K20" s="43"/>
      <c r="N20" s="6" t="s">
        <v>23</v>
      </c>
      <c r="O20" s="6"/>
      <c r="P20" s="2"/>
      <c r="Q20" s="2"/>
      <c r="R20" s="51">
        <v>0.01</v>
      </c>
      <c r="S20" s="48"/>
      <c r="T20" s="41">
        <f>$X$16*R20</f>
        <v>63763.040000000001</v>
      </c>
      <c r="U20" s="43"/>
      <c r="W20" s="27" t="s">
        <v>32</v>
      </c>
      <c r="X20" s="2">
        <v>1.75</v>
      </c>
      <c r="AD20" s="1"/>
    </row>
    <row r="21" spans="1:30" x14ac:dyDescent="0.25">
      <c r="A21" s="4" t="s">
        <v>44</v>
      </c>
      <c r="B21" s="7">
        <v>0.04</v>
      </c>
      <c r="C21" s="23">
        <f>(X16-F15)*B21</f>
        <v>250444.16</v>
      </c>
      <c r="F21" s="40" t="s">
        <v>48</v>
      </c>
      <c r="G21" s="40"/>
      <c r="H21" s="52">
        <v>5.2199999999999998E-3</v>
      </c>
      <c r="I21" s="52"/>
      <c r="J21" s="41">
        <f>($X$16-$F$15)*H21</f>
        <v>32682.962879999999</v>
      </c>
      <c r="K21" s="43"/>
      <c r="N21" s="6" t="s">
        <v>24</v>
      </c>
      <c r="O21" s="6"/>
      <c r="P21" s="2"/>
      <c r="Q21" s="2"/>
      <c r="R21" s="47">
        <v>8.3333299999999999E-2</v>
      </c>
      <c r="S21" s="48"/>
      <c r="T21" s="41">
        <f>$X$16*R21</f>
        <v>531358.45412320003</v>
      </c>
      <c r="U21" s="43"/>
      <c r="W21" s="27" t="s">
        <v>33</v>
      </c>
      <c r="X21" s="2">
        <v>0.35</v>
      </c>
      <c r="AD21" s="1"/>
    </row>
    <row r="22" spans="1:30" x14ac:dyDescent="0.25">
      <c r="A22" s="4" t="s">
        <v>19</v>
      </c>
      <c r="B22" s="41">
        <f>SUM(C19:C21)</f>
        <v>250444.16</v>
      </c>
      <c r="C22" s="43"/>
      <c r="F22" s="40" t="s">
        <v>19</v>
      </c>
      <c r="G22" s="40"/>
      <c r="H22" s="44">
        <f>SUM(J19:J21)</f>
        <v>784015.44287999999</v>
      </c>
      <c r="I22" s="45"/>
      <c r="J22" s="45"/>
      <c r="K22" s="46"/>
      <c r="N22" s="40" t="s">
        <v>25</v>
      </c>
      <c r="O22" s="40"/>
      <c r="P22" s="40"/>
      <c r="Q22" s="40"/>
      <c r="R22" s="47">
        <v>4.1700000000000001E-2</v>
      </c>
      <c r="S22" s="48"/>
      <c r="T22" s="41">
        <f>($X$16-F15)*R22</f>
        <v>261088.0368</v>
      </c>
      <c r="U22" s="43"/>
      <c r="W22" s="27" t="s">
        <v>39</v>
      </c>
      <c r="X22" s="2">
        <v>1.75</v>
      </c>
      <c r="AD22" s="1"/>
    </row>
    <row r="23" spans="1:30" x14ac:dyDescent="0.25">
      <c r="N23" s="40" t="s">
        <v>19</v>
      </c>
      <c r="O23" s="40"/>
      <c r="P23" s="40"/>
      <c r="Q23" s="40"/>
      <c r="R23" s="41">
        <f>SUM(T19:T22)</f>
        <v>1387567.9850464002</v>
      </c>
      <c r="S23" s="42"/>
      <c r="T23" s="42"/>
      <c r="U23" s="43"/>
      <c r="W23" s="27" t="s">
        <v>34</v>
      </c>
      <c r="X23" s="2">
        <v>2</v>
      </c>
      <c r="AD23" s="1"/>
    </row>
    <row r="24" spans="1:30" x14ac:dyDescent="0.25">
      <c r="F24" s="21"/>
      <c r="W24" s="4" t="s">
        <v>35</v>
      </c>
      <c r="X24" s="2">
        <v>2.5</v>
      </c>
      <c r="AD24" s="1"/>
    </row>
    <row r="25" spans="1:30" x14ac:dyDescent="0.25">
      <c r="F25" s="21"/>
      <c r="W25" s="4" t="s">
        <v>40</v>
      </c>
      <c r="X25" s="2">
        <v>2.1</v>
      </c>
      <c r="AD25" s="1"/>
    </row>
    <row r="26" spans="1:30" x14ac:dyDescent="0.25">
      <c r="F26" s="21"/>
    </row>
    <row r="27" spans="1:30" x14ac:dyDescent="0.25">
      <c r="F27" s="21"/>
    </row>
    <row r="28" spans="1:30" x14ac:dyDescent="0.25">
      <c r="F28" s="21"/>
      <c r="I28" s="22"/>
    </row>
    <row r="29" spans="1:30" x14ac:dyDescent="0.25">
      <c r="F29" s="21"/>
    </row>
    <row r="30" spans="1:30" x14ac:dyDescent="0.25">
      <c r="F30" s="21"/>
    </row>
  </sheetData>
  <mergeCells count="40">
    <mergeCell ref="AD16:AF16"/>
    <mergeCell ref="B1:G1"/>
    <mergeCell ref="W1:Y1"/>
    <mergeCell ref="AB1:AC1"/>
    <mergeCell ref="B2:G2"/>
    <mergeCell ref="W2:Y2"/>
    <mergeCell ref="AB2:AC2"/>
    <mergeCell ref="B3:G3"/>
    <mergeCell ref="Y6:AE6"/>
    <mergeCell ref="A6:A7"/>
    <mergeCell ref="B6:W6"/>
    <mergeCell ref="T16:W16"/>
    <mergeCell ref="F19:G19"/>
    <mergeCell ref="H19:I19"/>
    <mergeCell ref="J19:K19"/>
    <mergeCell ref="R19:S19"/>
    <mergeCell ref="T19:U19"/>
    <mergeCell ref="A18:B18"/>
    <mergeCell ref="F18:I18"/>
    <mergeCell ref="J18:K18"/>
    <mergeCell ref="N18:U18"/>
    <mergeCell ref="W18:X18"/>
    <mergeCell ref="F21:G21"/>
    <mergeCell ref="H21:I21"/>
    <mergeCell ref="J21:K21"/>
    <mergeCell ref="R21:S21"/>
    <mergeCell ref="T21:U21"/>
    <mergeCell ref="F20:G20"/>
    <mergeCell ref="H20:I20"/>
    <mergeCell ref="J20:K20"/>
    <mergeCell ref="R20:S20"/>
    <mergeCell ref="T20:U20"/>
    <mergeCell ref="N23:Q23"/>
    <mergeCell ref="R23:U23"/>
    <mergeCell ref="B22:C22"/>
    <mergeCell ref="F22:G22"/>
    <mergeCell ref="H22:K22"/>
    <mergeCell ref="N22:Q22"/>
    <mergeCell ref="R22:S22"/>
    <mergeCell ref="T22:U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THANATOS</dc:creator>
  <cp:lastModifiedBy>Gato</cp:lastModifiedBy>
  <dcterms:created xsi:type="dcterms:W3CDTF">2011-12-01T23:58:19Z</dcterms:created>
  <dcterms:modified xsi:type="dcterms:W3CDTF">2014-06-16T19:43:17Z</dcterms:modified>
</cp:coreProperties>
</file>